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 Програма " sheetId="1" r:id="rId4"/>
  </sheets>
  <definedNames/>
  <calcPr/>
  <extLst>
    <ext uri="GoogleSheetsCustomDataVersion1">
      <go:sheetsCustomData xmlns:go="http://customooxmlschemas.google.com/" r:id="rId5" roundtripDataSignature="AMtx7mjYIfx1QWKT+9gfyC30eAB3F0hslQ=="/>
    </ext>
  </extLst>
</workbook>
</file>

<file path=xl/sharedStrings.xml><?xml version="1.0" encoding="utf-8"?>
<sst xmlns="http://schemas.openxmlformats.org/spreadsheetml/2006/main" count="65" uniqueCount="62">
  <si>
    <t>ЗАХОДИ, ЩО НАПРАВЛЕНІ  НА ПІДВИЩЕННЯ ЕНЕРГОЕФЕКТИВНОСТІ  ТА РОЗВИТОК ЖИТЛОВО-КОМУНАЛЬНОЇ ІНФРАСТРУКТУРИ МІСТА КИЄВА НА 2021 ПО ДЕПАРТАМЕНТУ ЖИТЛОВО-КОМУНАЛЬНОЇ ІНФРАСТРУКТУРИ</t>
  </si>
  <si>
    <t>ТИС. ГРН</t>
  </si>
  <si>
    <t>ЗАХОДИ/  ЗАМОВНИК/  НАПРАВЛЕННЯ</t>
  </si>
  <si>
    <t>КІЛЬКІСТЬ ОБ'ЄКТІВ</t>
  </si>
  <si>
    <t>ПРОГРАМА 2020 РОКУ</t>
  </si>
  <si>
    <t>ДОВЕДЕНО НА 2021 РІК</t>
  </si>
  <si>
    <t xml:space="preserve">ПОРТЕБА НА 2021 РІК З УРАХУВАННЯМ ПРІОРИТЕТНОСТІ                                </t>
  </si>
  <si>
    <t>Всього</t>
  </si>
  <si>
    <t xml:space="preserve"> І-першочергові</t>
  </si>
  <si>
    <t xml:space="preserve">  ІІ- нагальні</t>
  </si>
  <si>
    <t>ВСЬОГО</t>
  </si>
  <si>
    <t>Технічне переоснащення та підвищення енергоефективності у галузях житлово-комунального господарства</t>
  </si>
  <si>
    <t>КП "КИЇВБУДРЕКОНСТРУКЦІЯ"                                                                 КП "ГРУПА ВПРОВАДЖЕННЯ ПРОЕКТУ З ЕНЕРГОЗБЕРЕЖЕННЯ В АДМІНІСТРАТИВНИХ І ГРОМАДСЬКИХ БУДІВЛЯХ М.КИЄВА"</t>
  </si>
  <si>
    <t xml:space="preserve"> реконструкція та модернізація застарілих і зношених ліфтів;     </t>
  </si>
  <si>
    <t> реалізація енергоефективних проектів на умовах спільного фінансування ОСББ та ЖБК (кількість ОСББ/ЖБК, які планується залучити в межах конкурсу проектів, од.)</t>
  </si>
  <si>
    <t>Водопостачання та водовідведення:</t>
  </si>
  <si>
    <t>ПРАТ "АК "КИЇВВОДОКАНАЛ"</t>
  </si>
  <si>
    <t>Водопостачання:</t>
  </si>
  <si>
    <t> оснащення/заміна та охорона вузлів комерційного обліку в житлових будинках міста Києва;</t>
  </si>
  <si>
    <t> водопостачання та каналізування малоповерхової забудови;</t>
  </si>
  <si>
    <t> будівництво та реконструкція водопровідних мереж, а також з впровадженням енергоощадних технологій;</t>
  </si>
  <si>
    <t> будівництво та реконструкція водопровідних мереж, в тому числі з впровадженням технологій очистки промивних вод;</t>
  </si>
  <si>
    <t> функціонування фонтанів;</t>
  </si>
  <si>
    <t> функціонування бюветних комплексів;</t>
  </si>
  <si>
    <t> будівництво бюветних комплексів та артезіанських свердловин малої продуктивності.</t>
  </si>
  <si>
    <t>Водовідведення</t>
  </si>
  <si>
    <t> реконструкція споруд першої черги Бортницької станції аерації;</t>
  </si>
  <si>
    <t>крім того ДБ</t>
  </si>
  <si>
    <t> реконструкція очисних споруд, удосконалення технології очищення та утилізації осадів, поліпшення інженерної інфраструктури, благоустрою;</t>
  </si>
  <si>
    <t> реконструкція дамб мулових полів Бортницької станції аерації;</t>
  </si>
  <si>
    <t> будівництво, реконструкція, капітальний ремонт самопливних, напірних та аварійних каналізаційних колекторіва також з впровадженням енергоощадних технологій;</t>
  </si>
  <si>
    <t> реконструкція дюкерних переходів через р. Дніпро.</t>
  </si>
  <si>
    <t>Теплопостачання та гаряче водопостачання</t>
  </si>
  <si>
    <t>КП "КИЇВТЕПЛОЕНЕРГО",                                                                                     КП "ГРУПА ВПРОВАДЖЕННЯ ПРОЕКТУ З ЕНЕРГОЗБЕРЕЖЕННЯ В АДМІНІСТРАТИВНИХ І ГРОМАДСЬКИХ БУДІВЛЯХ М.КИЄВА"</t>
  </si>
  <si>
    <t xml:space="preserve"> оснащення/заміна та охорона вузлів комерційного обліку в житлових будинках міста Києва;     </t>
  </si>
  <si>
    <t> капітальні ремонти, будівництво та реконструкція теплових мереж, перепідключення споживачів на більш ефективні котельні; реконструкція та капітальні ремонти обладнання теплових пунктів; реконструкція та капітальні ремонти тепло- та електротехнічного обладнання котелень;</t>
  </si>
  <si>
    <t> схема теплопостачання м. Києва на період до 2030 року</t>
  </si>
  <si>
    <t>Зовнішні інженерні мережі</t>
  </si>
  <si>
    <t>КП "СПЕЦЖИТЛОФОНД", КП "ЖИТЛОІНВЕСТБУД-УКБ"</t>
  </si>
  <si>
    <t> прокладання зовнішних інжерених мереж</t>
  </si>
  <si>
    <t>Санітарне очищення міста</t>
  </si>
  <si>
    <t>КП "КИЇВТЕПЛОЕНЕРГО",                                                                           ПРАТ "КИЇВСПЕЦТРАНС",  СВКП "КИЇВВОДФОНД"</t>
  </si>
  <si>
    <t> будівництво сміттєпереробних комплексів (відведення земельної ділянки та проєктування);</t>
  </si>
  <si>
    <t> реконструкція та капітальні ремонти котлів, основного та допоміжного обладнання СП «ЗАВОД «ЕНЕРГІЯ»;</t>
  </si>
  <si>
    <t> технічне переоснащення СП «Завод «Енергія» на вул. Колекторній, 44 у Дарницькому р-нім. Києва в частині системи очищення димових газів;</t>
  </si>
  <si>
    <t> реконструкція електрообладнання КВП та А на котлах  СП «Завод «Енергія»;</t>
  </si>
  <si>
    <t> будівництво на СП «Завод «Енергія» системи безперервного моніторингу викидів забруднюючих речовин в атмосферу повітря;</t>
  </si>
  <si>
    <t> комплекс заходів, пов’язаних із захороненням ТПВ і експлуатацією полігону ТПВ №5 в с. Підгірці, Обухівського району Київської області;</t>
  </si>
  <si>
    <t> реконструкція та рекультивація полігону великогабаритних та будівельних відходів №6 по вул. Пирогівський шлях, 94-96 в Голосіївському районі м. Києва.</t>
  </si>
  <si>
    <t xml:space="preserve"> Забезпечення функціонування мережі громадських вбиралень </t>
  </si>
  <si>
    <t> Будівництво інженерних мереж, малих архітектурних форм-пунктів підключення та встановлення громадських вбиралень модульного типу</t>
  </si>
  <si>
    <t>Ритуальні послуги</t>
  </si>
  <si>
    <t xml:space="preserve">РС СКП СПЕЦКОМБІНАТ ПКПО,                                                                                    РС СКП КИЇВСЬКИЙ КРЕМАТОРІЙ,                                                             ДЕРЖАВНИЙ ІСТОРИКО-МЕМОРІАЛЬНИЙ ЛУК'ЯНІВСЬКИЙ ЗАПОВІДНИК   </t>
  </si>
  <si>
    <t> вирішення питання забезпеченості місцями для поховання померлих мешканців столиці;</t>
  </si>
  <si>
    <t> розширення міських кладовищ (відведення земельної ділянки);</t>
  </si>
  <si>
    <t> будівництво інших об'єктів на міських кладовищах;</t>
  </si>
  <si>
    <t> Вирішення питання забезпечення дотримання санітарних норм та покращення якості та зручності надання послуг населенню;</t>
  </si>
  <si>
    <t> капітальний ремонт об'єктів крематрію;</t>
  </si>
  <si>
    <t xml:space="preserve"> забезпечення благоустрою міських кладовищ </t>
  </si>
  <si>
    <t>Інженерний захист територій</t>
  </si>
  <si>
    <t xml:space="preserve">КП "КИЇВБУДРЕКОНСТРУКЦІЯ"                                                                 </t>
  </si>
  <si>
    <t> виконання робіт з інженерного захисту територій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</si>
</sst>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"/>
  </numFmts>
  <fonts count="16">
    <font>
      <sz val="10.0"/>
      <color rgb="FF000000"/>
      <name val="Arimo"/>
    </font>
    <font>
      <b/>
      <sz val="10.0"/>
      <color theme="1"/>
      <name val="Arimo"/>
    </font>
    <font>
      <sz val="10.0"/>
      <color theme="1"/>
      <name val="Arimo"/>
    </font>
    <font/>
    <font>
      <color theme="1"/>
      <name val="Calibri"/>
    </font>
    <font>
      <b/>
      <i/>
      <sz val="14.0"/>
      <color rgb="FF000000"/>
      <name val="Times New Roman"/>
    </font>
    <font>
      <b/>
      <i/>
      <sz val="12.0"/>
      <color rgb="FF000000"/>
      <name val="Times New Roman"/>
    </font>
    <font>
      <b/>
      <i/>
      <sz val="10.0"/>
      <name val="Arimo"/>
    </font>
    <font>
      <b/>
      <i/>
      <sz val="10.0"/>
      <color theme="1"/>
      <name val="Arimo"/>
    </font>
    <font>
      <u/>
      <sz val="10.0"/>
      <color theme="1"/>
      <name val="Arimo"/>
    </font>
    <font>
      <u/>
      <sz val="10.0"/>
      <color theme="1"/>
      <name val="Arimo"/>
    </font>
    <font>
      <u/>
      <sz val="10.0"/>
      <color theme="1"/>
      <name val="Arimo"/>
    </font>
    <font>
      <u/>
      <sz val="10.0"/>
      <color theme="1"/>
      <name val="Arimo"/>
    </font>
    <font>
      <u/>
      <sz val="10.0"/>
      <color theme="1"/>
      <name val="Arimo"/>
    </font>
    <font>
      <b/>
      <i/>
      <sz val="10.0"/>
      <color rgb="FFFF0000"/>
      <name val="Arimo"/>
    </font>
    <font>
      <sz val="8.0"/>
      <color theme="1"/>
      <name val="Arimo"/>
    </font>
  </fonts>
  <fills count="7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D99594"/>
        <bgColor rgb="FFD99594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/>
    </xf>
    <xf borderId="1" fillId="0" fontId="1" numFmtId="0" xfId="0" applyAlignment="1" applyBorder="1" applyFont="1">
      <alignment horizontal="center" vertical="center"/>
    </xf>
    <xf borderId="2" fillId="0" fontId="1" numFmtId="4" xfId="0" applyAlignment="1" applyBorder="1" applyFont="1" applyNumberFormat="1">
      <alignment horizontal="center" shrinkToFit="0" vertical="center" wrapText="1"/>
    </xf>
    <xf borderId="1" fillId="0" fontId="1" numFmtId="4" xfId="0" applyAlignment="1" applyBorder="1" applyFont="1" applyNumberFormat="1">
      <alignment horizontal="center" shrinkToFit="0" vertical="center" wrapText="1"/>
    </xf>
    <xf borderId="3" fillId="0" fontId="1" numFmtId="4" xfId="0" applyAlignment="1" applyBorder="1" applyFont="1" applyNumberForma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2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horizontal="center" vertical="center"/>
    </xf>
    <xf borderId="2" fillId="0" fontId="1" numFmtId="4" xfId="0" applyAlignment="1" applyBorder="1" applyFont="1" applyNumberFormat="1">
      <alignment horizontal="center" vertical="center"/>
    </xf>
    <xf borderId="0" fillId="0" fontId="4" numFmtId="0" xfId="0" applyFont="1"/>
    <xf borderId="2" fillId="2" fontId="5" numFmtId="0" xfId="0" applyAlignment="1" applyBorder="1" applyFill="1" applyFont="1">
      <alignment horizontal="left" vertical="center"/>
    </xf>
    <xf borderId="2" fillId="2" fontId="6" numFmtId="164" xfId="0" applyAlignment="1" applyBorder="1" applyFont="1" applyNumberFormat="1">
      <alignment horizontal="center" vertical="center"/>
    </xf>
    <xf borderId="2" fillId="2" fontId="6" numFmtId="4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left" shrinkToFit="0" vertical="center" wrapText="1"/>
    </xf>
    <xf borderId="2" fillId="0" fontId="1" numFmtId="165" xfId="0" applyAlignment="1" applyBorder="1" applyFont="1" applyNumberFormat="1">
      <alignment horizontal="center" vertical="center"/>
    </xf>
    <xf borderId="2" fillId="0" fontId="1" numFmtId="164" xfId="0" applyAlignment="1" applyBorder="1" applyFont="1" applyNumberForma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2" fillId="0" fontId="8" numFmtId="4" xfId="0" applyAlignment="1" applyBorder="1" applyFont="1" applyNumberFormat="1">
      <alignment horizontal="center" shrinkToFit="0" vertical="center" wrapText="1"/>
    </xf>
    <xf borderId="2" fillId="0" fontId="8" numFmtId="0" xfId="0" applyAlignment="1" applyBorder="1" applyFont="1">
      <alignment horizontal="left" vertical="center"/>
    </xf>
    <xf borderId="2" fillId="0" fontId="2" numFmtId="0" xfId="0" applyBorder="1" applyFont="1"/>
    <xf borderId="2" fillId="3" fontId="9" numFmtId="0" xfId="0" applyAlignment="1" applyBorder="1" applyFill="1" applyFont="1">
      <alignment vertical="center"/>
    </xf>
    <xf borderId="2" fillId="0" fontId="10" numFmtId="0" xfId="0" applyAlignment="1" applyBorder="1" applyFont="1">
      <alignment vertical="center"/>
    </xf>
    <xf borderId="2" fillId="0" fontId="11" numFmtId="164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shrinkToFit="0" vertical="center" wrapText="1"/>
    </xf>
    <xf borderId="2" fillId="3" fontId="1" numFmtId="164" xfId="0" applyAlignment="1" applyBorder="1" applyFont="1" applyNumberFormat="1">
      <alignment horizontal="center" shrinkToFit="0" vertical="center" wrapText="1"/>
    </xf>
    <xf borderId="2" fillId="0" fontId="12" numFmtId="0" xfId="0" applyAlignment="1" applyBorder="1" applyFont="1">
      <alignment vertical="top"/>
    </xf>
    <xf borderId="2" fillId="0" fontId="2" numFmtId="0" xfId="0" applyAlignment="1" applyBorder="1" applyFont="1">
      <alignment horizontal="left"/>
    </xf>
    <xf borderId="2" fillId="0" fontId="13" numFmtId="0" xfId="0" applyAlignment="1" applyBorder="1" applyFont="1">
      <alignment horizontal="center" vertical="top"/>
    </xf>
    <xf borderId="2" fillId="4" fontId="8" numFmtId="0" xfId="0" applyAlignment="1" applyBorder="1" applyFill="1" applyFont="1">
      <alignment shrinkToFit="0" vertical="center" wrapText="1"/>
    </xf>
    <xf borderId="2" fillId="4" fontId="14" numFmtId="0" xfId="0" applyAlignment="1" applyBorder="1" applyFont="1">
      <alignment shrinkToFit="0" vertical="center" wrapText="1"/>
    </xf>
    <xf borderId="2" fillId="4" fontId="1" numFmtId="164" xfId="0" applyAlignment="1" applyBorder="1" applyFont="1" applyNumberFormat="1">
      <alignment horizontal="center" shrinkToFit="0" vertical="center" wrapText="1"/>
    </xf>
    <xf borderId="2" fillId="5" fontId="8" numFmtId="0" xfId="0" applyAlignment="1" applyBorder="1" applyFill="1" applyFont="1">
      <alignment shrinkToFit="0" vertical="center" wrapText="1"/>
    </xf>
    <xf borderId="2" fillId="3" fontId="8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6" fontId="8" numFmtId="0" xfId="0" applyAlignment="1" applyBorder="1" applyFill="1" applyFont="1">
      <alignment shrinkToFit="0" vertical="center" wrapText="1"/>
    </xf>
    <xf borderId="1" fillId="0" fontId="8" numFmtId="4" xfId="0" applyAlignment="1" applyBorder="1" applyFont="1" applyNumberForma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2" fillId="2" fontId="6" numFmtId="0" xfId="0" applyAlignment="1" applyBorder="1" applyFont="1">
      <alignment horizontal="center" vertical="center"/>
    </xf>
    <xf borderId="0" fillId="0" fontId="2" numFmtId="4" xfId="0" applyAlignment="1" applyFont="1" applyNumberFormat="1">
      <alignment shrinkToFit="0" vertical="top" wrapText="1"/>
    </xf>
    <xf borderId="2" fillId="0" fontId="5" numFmtId="164" xfId="0" applyAlignment="1" applyBorder="1" applyFont="1" applyNumberFormat="1">
      <alignment horizontal="center" vertical="center"/>
    </xf>
    <xf borderId="0" fillId="0" fontId="15" numFmtId="0" xfId="0" applyAlignment="1" applyFont="1">
      <alignment horizontal="left" shrinkToFit="0" wrapText="1"/>
    </xf>
    <xf borderId="2" fillId="0" fontId="14" numFmtId="0" xfId="0" applyAlignment="1" applyBorder="1" applyFont="1">
      <alignment shrinkToFit="0" vertical="center" wrapText="1"/>
    </xf>
    <xf borderId="2" fillId="2" fontId="5" numFmtId="3" xfId="0" applyAlignment="1" applyBorder="1" applyFont="1" applyNumberFormat="1">
      <alignment horizontal="center" vertical="center"/>
    </xf>
    <xf borderId="2" fillId="0" fontId="8" numFmtId="3" xfId="0" applyAlignment="1" applyBorder="1" applyFont="1" applyNumberFormat="1">
      <alignment horizontal="center" shrinkToFit="0" vertical="center" wrapText="1"/>
    </xf>
    <xf borderId="2" fillId="0" fontId="5" numFmtId="4" xfId="0" applyAlignment="1" applyBorder="1" applyFont="1" applyNumberFormat="1">
      <alignment horizontal="center" vertical="center"/>
    </xf>
    <xf borderId="2" fillId="0" fontId="1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1.71"/>
    <col customWidth="1" hidden="1" min="3" max="3" width="17.14"/>
    <col customWidth="1" min="4" max="4" width="19.71"/>
    <col customWidth="1" min="5" max="5" width="16.14"/>
    <col customWidth="1" min="6" max="7" width="16.71"/>
    <col customWidth="1" min="8" max="8" width="21.71"/>
    <col customWidth="1" min="9" max="9" width="62.43"/>
    <col customWidth="1" min="10" max="26" width="8.71"/>
  </cols>
  <sheetData>
    <row r="1" ht="12.75" customHeight="1"/>
    <row r="2" ht="12.75" customHeight="1"/>
    <row r="3" ht="38.25" customHeight="1">
      <c r="B3" s="1" t="s">
        <v>0</v>
      </c>
    </row>
    <row r="4" ht="12.75" customHeight="1"/>
    <row r="5" ht="12.75" customHeight="1"/>
    <row r="6" ht="12.75" customHeight="1">
      <c r="G6" s="2"/>
      <c r="H6" s="2" t="s">
        <v>1</v>
      </c>
    </row>
    <row r="7" ht="53.25" customHeight="1">
      <c r="B7" s="3" t="s">
        <v>2</v>
      </c>
      <c r="C7" s="4" t="s">
        <v>3</v>
      </c>
      <c r="D7" s="5" t="s">
        <v>4</v>
      </c>
      <c r="E7" s="5" t="s">
        <v>5</v>
      </c>
      <c r="F7" s="6" t="s">
        <v>6</v>
      </c>
      <c r="G7" s="7"/>
      <c r="H7" s="8"/>
    </row>
    <row r="8" ht="53.25" customHeight="1">
      <c r="B8" s="9"/>
      <c r="C8" s="4"/>
      <c r="D8" s="10"/>
      <c r="E8" s="10"/>
      <c r="F8" s="4" t="s">
        <v>7</v>
      </c>
      <c r="G8" s="4" t="s">
        <v>8</v>
      </c>
      <c r="H8" s="4" t="s">
        <v>9</v>
      </c>
    </row>
    <row r="9" ht="25.5" customHeight="1">
      <c r="B9" s="11" t="s">
        <v>10</v>
      </c>
      <c r="C9" s="11"/>
      <c r="D9" s="12">
        <f>D10+D14+D32+D40+D53+D61+D37</f>
        <v>2425524.904</v>
      </c>
      <c r="E9" s="13">
        <f>E10+E14+E32+E37+E40+E53+E61</f>
        <v>693580.2</v>
      </c>
      <c r="F9" s="12">
        <f>F10+F14+F32+F40+F53+F61+F37</f>
        <v>4011922.1</v>
      </c>
      <c r="G9" s="12">
        <f t="shared" ref="G9:H9" si="1">G10+G14+G32+G37+G40+G53+G61</f>
        <v>1911611.8</v>
      </c>
      <c r="H9" s="12">
        <f t="shared" si="1"/>
        <v>2100310.3</v>
      </c>
      <c r="I9" s="14">
        <f>694680.2-1100</f>
        <v>693580.2</v>
      </c>
    </row>
    <row r="10" ht="56.25" customHeight="1">
      <c r="B10" s="15" t="s">
        <v>11</v>
      </c>
      <c r="C10" s="15"/>
      <c r="D10" s="16">
        <f t="shared" ref="D10:H10" si="2">D12+D13</f>
        <v>516592.7</v>
      </c>
      <c r="E10" s="17">
        <f t="shared" si="2"/>
        <v>170000</v>
      </c>
      <c r="F10" s="17">
        <f t="shared" si="2"/>
        <v>480000</v>
      </c>
      <c r="G10" s="17">
        <f t="shared" si="2"/>
        <v>50000</v>
      </c>
      <c r="H10" s="17">
        <f t="shared" si="2"/>
        <v>430000</v>
      </c>
    </row>
    <row r="11" ht="59.25" customHeight="1">
      <c r="B11" s="18" t="s">
        <v>12</v>
      </c>
      <c r="C11" s="19"/>
      <c r="D11" s="19"/>
      <c r="E11" s="19"/>
      <c r="F11" s="20"/>
      <c r="G11" s="20"/>
      <c r="H11" s="21"/>
    </row>
    <row r="12" ht="33.75" customHeight="1">
      <c r="B12" s="19" t="s">
        <v>13</v>
      </c>
      <c r="C12" s="22">
        <v>336.0</v>
      </c>
      <c r="D12" s="23">
        <v>400000.0</v>
      </c>
      <c r="E12" s="23">
        <v>70000.0</v>
      </c>
      <c r="F12" s="23">
        <f>450000-E12</f>
        <v>380000</v>
      </c>
      <c r="G12" s="23"/>
      <c r="H12" s="23">
        <f>F12</f>
        <v>380000</v>
      </c>
    </row>
    <row r="13" ht="54.0" customHeight="1">
      <c r="B13" s="19" t="s">
        <v>14</v>
      </c>
      <c r="C13" s="19"/>
      <c r="D13" s="23">
        <f>150000-33407.3</f>
        <v>116592.7</v>
      </c>
      <c r="E13" s="23">
        <v>100000.0</v>
      </c>
      <c r="F13" s="23">
        <f>200000-E13</f>
        <v>100000</v>
      </c>
      <c r="G13" s="23">
        <v>50000.0</v>
      </c>
      <c r="H13" s="21">
        <v>50000.0</v>
      </c>
    </row>
    <row r="14" ht="30.75" customHeight="1">
      <c r="B14" s="15" t="s">
        <v>15</v>
      </c>
      <c r="C14" s="15"/>
      <c r="D14" s="16">
        <f t="shared" ref="D14:H14" si="3">D16+D24</f>
        <v>954762.304</v>
      </c>
      <c r="E14" s="16">
        <f t="shared" si="3"/>
        <v>38746.8</v>
      </c>
      <c r="F14" s="16">
        <f t="shared" si="3"/>
        <v>1370356.5</v>
      </c>
      <c r="G14" s="16">
        <f t="shared" si="3"/>
        <v>653650</v>
      </c>
      <c r="H14" s="16">
        <f t="shared" si="3"/>
        <v>716706.5</v>
      </c>
    </row>
    <row r="15" ht="27.75" customHeight="1">
      <c r="B15" s="24" t="s">
        <v>16</v>
      </c>
      <c r="C15" s="24"/>
      <c r="D15" s="24"/>
      <c r="E15" s="24"/>
      <c r="F15" s="25"/>
      <c r="G15" s="25"/>
      <c r="H15" s="25"/>
    </row>
    <row r="16" ht="23.25" customHeight="1">
      <c r="B16" s="26" t="s">
        <v>17</v>
      </c>
      <c r="C16" s="27"/>
      <c r="D16" s="28">
        <f>D19+D20+D21+D22+D23</f>
        <v>27319.7</v>
      </c>
      <c r="E16" s="28">
        <f>E20+E22</f>
        <v>11758.7</v>
      </c>
      <c r="F16" s="28">
        <f t="shared" ref="F16:H16" si="4">F19+F20+F21+F22+F23</f>
        <v>137008.6</v>
      </c>
      <c r="G16" s="28">
        <f t="shared" si="4"/>
        <v>89738.1</v>
      </c>
      <c r="H16" s="28">
        <f t="shared" si="4"/>
        <v>47270.5</v>
      </c>
    </row>
    <row r="17" ht="33.0" hidden="1" customHeight="1">
      <c r="B17" s="29" t="s">
        <v>18</v>
      </c>
      <c r="C17" s="30"/>
      <c r="D17" s="30">
        <v>0.0</v>
      </c>
      <c r="E17" s="31"/>
      <c r="F17" s="32"/>
      <c r="G17" s="32"/>
      <c r="H17" s="25"/>
    </row>
    <row r="18" ht="23.25" hidden="1" customHeight="1">
      <c r="B18" s="29" t="s">
        <v>19</v>
      </c>
      <c r="C18" s="30"/>
      <c r="D18" s="30">
        <v>0.0</v>
      </c>
      <c r="E18" s="31"/>
      <c r="F18" s="32"/>
      <c r="G18" s="32"/>
      <c r="H18" s="25"/>
    </row>
    <row r="19" ht="36.75" customHeight="1">
      <c r="B19" s="29" t="s">
        <v>20</v>
      </c>
      <c r="C19" s="22">
        <v>2.0</v>
      </c>
      <c r="D19" s="23">
        <f>500+500</f>
        <v>1000</v>
      </c>
      <c r="E19" s="33"/>
      <c r="F19" s="21">
        <f>2000+3593.6+5000+5000+1300+5000</f>
        <v>21893.6</v>
      </c>
      <c r="G19" s="21"/>
      <c r="H19" s="21">
        <f>F19</f>
        <v>21893.6</v>
      </c>
    </row>
    <row r="20" ht="39.0" customHeight="1">
      <c r="B20" s="29" t="s">
        <v>21</v>
      </c>
      <c r="C20" s="22">
        <v>1.0</v>
      </c>
      <c r="D20" s="23">
        <f>2500</f>
        <v>2500</v>
      </c>
      <c r="E20" s="21">
        <f>1000+5261.9+4000</f>
        <v>10261.9</v>
      </c>
      <c r="F20" s="21">
        <f>100000-E20</f>
        <v>89738.1</v>
      </c>
      <c r="G20" s="21">
        <f>F20</f>
        <v>89738.1</v>
      </c>
      <c r="H20" s="21"/>
    </row>
    <row r="21" ht="23.25" hidden="1" customHeight="1">
      <c r="B21" s="34" t="s">
        <v>22</v>
      </c>
      <c r="C21" s="35"/>
      <c r="D21" s="36"/>
      <c r="E21" s="31"/>
      <c r="F21" s="21">
        <v>0.0</v>
      </c>
      <c r="G21" s="21"/>
      <c r="H21" s="21"/>
    </row>
    <row r="22" ht="23.25" customHeight="1">
      <c r="B22" s="29" t="s">
        <v>23</v>
      </c>
      <c r="C22" s="29"/>
      <c r="D22" s="21">
        <v>3707.8</v>
      </c>
      <c r="E22" s="21">
        <v>1496.8</v>
      </c>
      <c r="F22" s="21">
        <f>4695.3-E22</f>
        <v>3198.5</v>
      </c>
      <c r="G22" s="21"/>
      <c r="H22" s="21">
        <f t="shared" ref="H22:H23" si="5">F22</f>
        <v>3198.5</v>
      </c>
    </row>
    <row r="23" ht="33.75" customHeight="1">
      <c r="B23" s="29" t="s">
        <v>24</v>
      </c>
      <c r="C23" s="29"/>
      <c r="D23" s="21">
        <v>20111.9</v>
      </c>
      <c r="E23" s="31"/>
      <c r="F23" s="21">
        <f>1038.4+2103.2+4344.6+4344.2+4344.8+350+350+350+350+350+350+350+3553.2</f>
        <v>22178.4</v>
      </c>
      <c r="G23" s="21"/>
      <c r="H23" s="21">
        <f t="shared" si="5"/>
        <v>22178.4</v>
      </c>
    </row>
    <row r="24" ht="24.0" customHeight="1">
      <c r="B24" s="26" t="s">
        <v>25</v>
      </c>
      <c r="C24" s="27"/>
      <c r="D24" s="28">
        <f>D25+D26+D28+D29+D30</f>
        <v>927442.604</v>
      </c>
      <c r="E24" s="28">
        <f>E25+E28+E29+E30</f>
        <v>26988.1</v>
      </c>
      <c r="F24" s="28">
        <f t="shared" ref="F24:H24" si="6">F25+F26+F28+F29+F30+F31</f>
        <v>1233347.9</v>
      </c>
      <c r="G24" s="28">
        <f t="shared" si="6"/>
        <v>563911.9</v>
      </c>
      <c r="H24" s="28">
        <f t="shared" si="6"/>
        <v>669436</v>
      </c>
    </row>
    <row r="25" ht="33.75" customHeight="1">
      <c r="B25" s="29" t="s">
        <v>26</v>
      </c>
      <c r="C25" s="30">
        <v>1.0</v>
      </c>
      <c r="D25" s="21">
        <f>70915.3+D26</f>
        <v>210486.802</v>
      </c>
      <c r="E25" s="21">
        <v>16288.1</v>
      </c>
      <c r="F25" s="21">
        <f>236500-F26-E25</f>
        <v>78311.9</v>
      </c>
      <c r="G25" s="21">
        <f t="shared" ref="G25:G26" si="7">F25</f>
        <v>78311.9</v>
      </c>
      <c r="H25" s="25"/>
    </row>
    <row r="26" ht="24.0" customHeight="1">
      <c r="B26" s="37" t="s">
        <v>27</v>
      </c>
      <c r="C26" s="30"/>
      <c r="D26" s="21">
        <v>139571.502</v>
      </c>
      <c r="E26" s="31"/>
      <c r="F26" s="21">
        <v>141900.0</v>
      </c>
      <c r="G26" s="21">
        <f t="shared" si="7"/>
        <v>141900</v>
      </c>
      <c r="H26" s="25"/>
    </row>
    <row r="27" ht="39.75" hidden="1" customHeight="1">
      <c r="B27" s="34" t="s">
        <v>28</v>
      </c>
      <c r="C27" s="29"/>
      <c r="D27" s="29"/>
      <c r="E27" s="31"/>
      <c r="F27" s="32"/>
      <c r="G27" s="32"/>
      <c r="H27" s="25"/>
    </row>
    <row r="28" ht="36.0" customHeight="1">
      <c r="B28" s="29" t="s">
        <v>29</v>
      </c>
      <c r="C28" s="22">
        <v>1.0</v>
      </c>
      <c r="D28" s="23">
        <v>80647.1</v>
      </c>
      <c r="E28" s="21">
        <f>2050+1450</f>
        <v>3500</v>
      </c>
      <c r="F28" s="21">
        <f>2500+70000-E28</f>
        <v>69000</v>
      </c>
      <c r="G28" s="21">
        <f>F28</f>
        <v>69000</v>
      </c>
      <c r="H28" s="21"/>
    </row>
    <row r="29" ht="54.0" customHeight="1">
      <c r="B29" s="29" t="s">
        <v>30</v>
      </c>
      <c r="C29" s="22">
        <v>11.0</v>
      </c>
      <c r="D29" s="23">
        <f>500+500+11900+900+3786.4+500+500+55550.8+100000+113500+170000</f>
        <v>457637.2</v>
      </c>
      <c r="E29" s="21">
        <f>1000+1200</f>
        <v>2200</v>
      </c>
      <c r="F29" s="21">
        <f>2000+95000+3436+10000+10000+50000+500000+1200-E29</f>
        <v>669436</v>
      </c>
      <c r="G29" s="21"/>
      <c r="H29" s="21">
        <f>F29</f>
        <v>669436</v>
      </c>
    </row>
    <row r="30" ht="24.0" customHeight="1">
      <c r="B30" s="29" t="s">
        <v>31</v>
      </c>
      <c r="C30" s="38">
        <v>1.0</v>
      </c>
      <c r="D30" s="21">
        <f>27100+D31</f>
        <v>39100</v>
      </c>
      <c r="E30" s="21">
        <v>5000.0</v>
      </c>
      <c r="F30" s="21">
        <f>279700-F31-E30</f>
        <v>106900</v>
      </c>
      <c r="G30" s="21">
        <f t="shared" ref="G30:G31" si="8">F30</f>
        <v>106900</v>
      </c>
      <c r="H30" s="25"/>
    </row>
    <row r="31" ht="24.0" customHeight="1">
      <c r="B31" s="37" t="s">
        <v>27</v>
      </c>
      <c r="C31" s="38"/>
      <c r="D31" s="21">
        <v>12000.0</v>
      </c>
      <c r="E31" s="31"/>
      <c r="F31" s="21">
        <v>167800.0</v>
      </c>
      <c r="G31" s="21">
        <f t="shared" si="8"/>
        <v>167800</v>
      </c>
      <c r="H31" s="25"/>
    </row>
    <row r="32" ht="38.25" customHeight="1">
      <c r="B32" s="15" t="s">
        <v>32</v>
      </c>
      <c r="C32" s="15"/>
      <c r="D32" s="16">
        <f t="shared" ref="D32:H32" si="9">D34+D35+D36</f>
        <v>315508.4</v>
      </c>
      <c r="E32" s="16">
        <f t="shared" si="9"/>
        <v>173869.8</v>
      </c>
      <c r="F32" s="16">
        <f t="shared" si="9"/>
        <v>1109731.3</v>
      </c>
      <c r="G32" s="16">
        <f t="shared" si="9"/>
        <v>535200</v>
      </c>
      <c r="H32" s="16">
        <f t="shared" si="9"/>
        <v>574531.3</v>
      </c>
    </row>
    <row r="33" ht="60.75" customHeight="1">
      <c r="B33" s="39" t="s">
        <v>33</v>
      </c>
      <c r="C33" s="29"/>
      <c r="D33" s="29"/>
      <c r="E33" s="29"/>
      <c r="F33" s="25"/>
      <c r="G33" s="25"/>
      <c r="H33" s="25"/>
    </row>
    <row r="34" ht="32.25" customHeight="1">
      <c r="B34" s="29" t="s">
        <v>34</v>
      </c>
      <c r="C34" s="40"/>
      <c r="D34" s="23">
        <v>17996.6</v>
      </c>
      <c r="E34" s="23"/>
      <c r="F34" s="4">
        <f>18000+12000</f>
        <v>30000</v>
      </c>
      <c r="G34" s="4">
        <v>18000.0</v>
      </c>
      <c r="H34" s="21">
        <f t="shared" ref="H34:H35" si="10">F34-G34</f>
        <v>12000</v>
      </c>
    </row>
    <row r="35" ht="85.5" customHeight="1">
      <c r="B35" s="29" t="s">
        <v>35</v>
      </c>
      <c r="C35" s="29"/>
      <c r="D35" s="23">
        <f>179885+13696.8+16010+22930+24900+25000</f>
        <v>282421.8</v>
      </c>
      <c r="E35" s="23">
        <f>4896.8+226173-60000</f>
        <v>171069.8</v>
      </c>
      <c r="F35" s="23">
        <f>114855.6+1351745.5-200000-18000-15000-E35</f>
        <v>1062531.3</v>
      </c>
      <c r="G35" s="23">
        <v>500000.0</v>
      </c>
      <c r="H35" s="21">
        <f t="shared" si="10"/>
        <v>562531.3</v>
      </c>
    </row>
    <row r="36" ht="22.5" customHeight="1">
      <c r="B36" s="19" t="s">
        <v>36</v>
      </c>
      <c r="C36" s="38">
        <v>2.0</v>
      </c>
      <c r="D36" s="4">
        <f>1500+12790+800</f>
        <v>15090</v>
      </c>
      <c r="E36" s="41">
        <f>800+2000</f>
        <v>2800</v>
      </c>
      <c r="F36" s="5">
        <f>19300-E36+700</f>
        <v>17200</v>
      </c>
      <c r="G36" s="5">
        <f>F36</f>
        <v>17200</v>
      </c>
      <c r="H36" s="42"/>
    </row>
    <row r="37" ht="22.5" customHeight="1">
      <c r="B37" s="15" t="s">
        <v>37</v>
      </c>
      <c r="C37" s="15"/>
      <c r="D37" s="16">
        <f>D39</f>
        <v>32702.5</v>
      </c>
      <c r="E37" s="43"/>
      <c r="F37" s="16">
        <f t="shared" ref="F37:H37" si="11">F39</f>
        <v>95010.1</v>
      </c>
      <c r="G37" s="16" t="str">
        <f t="shared" si="11"/>
        <v/>
      </c>
      <c r="H37" s="16">
        <f t="shared" si="11"/>
        <v>95010.1</v>
      </c>
    </row>
    <row r="38" ht="22.5" customHeight="1">
      <c r="B38" s="19" t="s">
        <v>38</v>
      </c>
      <c r="C38" s="38"/>
      <c r="D38" s="4"/>
      <c r="E38" s="41"/>
      <c r="F38" s="5"/>
      <c r="G38" s="5"/>
      <c r="H38" s="42"/>
    </row>
    <row r="39" ht="22.5" customHeight="1">
      <c r="B39" s="19" t="s">
        <v>39</v>
      </c>
      <c r="C39" s="38"/>
      <c r="D39" s="4">
        <f>30956.5+1746</f>
        <v>32702.5</v>
      </c>
      <c r="E39" s="41"/>
      <c r="F39" s="5">
        <f>56470.7+38539.4</f>
        <v>95010.1</v>
      </c>
      <c r="G39" s="5"/>
      <c r="H39" s="42">
        <f>F39</f>
        <v>95010.1</v>
      </c>
    </row>
    <row r="40" ht="27.0" customHeight="1">
      <c r="B40" s="15" t="s">
        <v>40</v>
      </c>
      <c r="C40" s="15"/>
      <c r="D40" s="16">
        <f>D42+D43+D44+D47+D48+D50+D51+D52</f>
        <v>429374.2</v>
      </c>
      <c r="E40" s="17">
        <f>E48+E44+E46+E43+E51</f>
        <v>283543.4</v>
      </c>
      <c r="F40" s="16">
        <f>F45+F46+F47+F48+F49+F50+F51+F52</f>
        <v>790712.3</v>
      </c>
      <c r="G40" s="16">
        <f>G45+G46+G47+G48+G49+G51</f>
        <v>613867</v>
      </c>
      <c r="H40" s="16">
        <f>H48+H50+H52</f>
        <v>176845.3</v>
      </c>
    </row>
    <row r="41" ht="35.25" customHeight="1">
      <c r="B41" s="29" t="s">
        <v>41</v>
      </c>
      <c r="C41" s="29"/>
      <c r="D41" s="29"/>
      <c r="E41" s="29"/>
      <c r="F41" s="25"/>
      <c r="G41" s="25"/>
      <c r="H41" s="25"/>
    </row>
    <row r="42" ht="36.75" hidden="1" customHeight="1">
      <c r="B42" s="29" t="s">
        <v>42</v>
      </c>
      <c r="C42" s="29">
        <v>2.0</v>
      </c>
      <c r="D42" s="23"/>
      <c r="E42" s="23"/>
      <c r="F42" s="23"/>
      <c r="G42" s="23"/>
      <c r="H42" s="25"/>
    </row>
    <row r="43" ht="41.25" customHeight="1">
      <c r="B43" s="29" t="s">
        <v>43</v>
      </c>
      <c r="C43" s="29"/>
      <c r="D43" s="23">
        <v>0.0</v>
      </c>
      <c r="E43" s="23">
        <v>60000.0</v>
      </c>
      <c r="F43" s="23">
        <f>60000-E43</f>
        <v>0</v>
      </c>
      <c r="G43" s="23"/>
      <c r="H43" s="42"/>
    </row>
    <row r="44" ht="45.0" customHeight="1">
      <c r="B44" s="29" t="s">
        <v>44</v>
      </c>
      <c r="C44" s="22">
        <v>1.0</v>
      </c>
      <c r="D44" s="23">
        <f>1986.4+218013.6</f>
        <v>220000</v>
      </c>
      <c r="E44" s="23">
        <f>208134.4</f>
        <v>208134.4</v>
      </c>
      <c r="F44" s="23">
        <f>470000-F45-200000</f>
        <v>0</v>
      </c>
      <c r="G44" s="23"/>
      <c r="H44" s="42"/>
    </row>
    <row r="45" ht="19.5" customHeight="1">
      <c r="B45" s="37" t="s">
        <v>27</v>
      </c>
      <c r="C45" s="22"/>
      <c r="D45" s="23"/>
      <c r="E45" s="23"/>
      <c r="F45" s="23">
        <v>270000.0</v>
      </c>
      <c r="G45" s="23">
        <f t="shared" ref="G45:G47" si="12">F45</f>
        <v>270000</v>
      </c>
      <c r="H45" s="42"/>
    </row>
    <row r="46" ht="41.25" customHeight="1">
      <c r="B46" s="29" t="s">
        <v>45</v>
      </c>
      <c r="C46" s="22"/>
      <c r="D46" s="23"/>
      <c r="E46" s="23">
        <v>1000.0</v>
      </c>
      <c r="F46" s="23">
        <f>55000-E46</f>
        <v>54000</v>
      </c>
      <c r="G46" s="23">
        <f t="shared" si="12"/>
        <v>54000</v>
      </c>
      <c r="H46" s="42"/>
    </row>
    <row r="47" ht="12.75" customHeight="1">
      <c r="B47" s="29" t="s">
        <v>46</v>
      </c>
      <c r="C47" s="22">
        <v>1.0</v>
      </c>
      <c r="D47" s="23">
        <v>1349.6</v>
      </c>
      <c r="E47" s="23"/>
      <c r="F47" s="23">
        <v>15000.0</v>
      </c>
      <c r="G47" s="23">
        <f t="shared" si="12"/>
        <v>15000</v>
      </c>
      <c r="H47" s="42"/>
    </row>
    <row r="48" ht="44.25" customHeight="1">
      <c r="B48" s="29" t="s">
        <v>47</v>
      </c>
      <c r="C48" s="22">
        <v>1.0</v>
      </c>
      <c r="D48" s="23">
        <f>205082.7-16058.5+10000</f>
        <v>199024.2</v>
      </c>
      <c r="E48" s="23">
        <v>11500.0</v>
      </c>
      <c r="F48" s="23">
        <f>444645.3-F49-E48</f>
        <v>363145.3</v>
      </c>
      <c r="G48" s="23">
        <v>200000.0</v>
      </c>
      <c r="H48" s="42">
        <f>F48-G48</f>
        <v>163145.3</v>
      </c>
      <c r="I48" s="44"/>
    </row>
    <row r="49" ht="19.5" customHeight="1">
      <c r="B49" s="37" t="s">
        <v>27</v>
      </c>
      <c r="C49" s="22"/>
      <c r="D49" s="23"/>
      <c r="E49" s="23"/>
      <c r="F49" s="23">
        <v>70000.0</v>
      </c>
      <c r="G49" s="23">
        <f>F49</f>
        <v>70000</v>
      </c>
      <c r="H49" s="42"/>
    </row>
    <row r="50" ht="45.0" customHeight="1">
      <c r="B50" s="29" t="s">
        <v>48</v>
      </c>
      <c r="C50" s="22">
        <v>1.0</v>
      </c>
      <c r="D50" s="23">
        <v>0.0</v>
      </c>
      <c r="E50" s="23"/>
      <c r="F50" s="23">
        <v>6000.0</v>
      </c>
      <c r="G50" s="23"/>
      <c r="H50" s="42">
        <f>F50</f>
        <v>6000</v>
      </c>
    </row>
    <row r="51" ht="30.75" customHeight="1">
      <c r="B51" s="29" t="s">
        <v>49</v>
      </c>
      <c r="C51" s="22"/>
      <c r="D51" s="23">
        <v>5184.1</v>
      </c>
      <c r="E51" s="23">
        <v>2909.0</v>
      </c>
      <c r="F51" s="23">
        <f>7776-E51</f>
        <v>4867</v>
      </c>
      <c r="G51" s="23">
        <f>F51</f>
        <v>4867</v>
      </c>
      <c r="H51" s="42"/>
    </row>
    <row r="52" ht="49.5" customHeight="1">
      <c r="B52" s="29" t="s">
        <v>50</v>
      </c>
      <c r="C52" s="22">
        <v>1.0</v>
      </c>
      <c r="D52" s="23">
        <v>3816.3</v>
      </c>
      <c r="E52" s="23"/>
      <c r="F52" s="23">
        <v>7700.0</v>
      </c>
      <c r="G52" s="23"/>
      <c r="H52" s="42">
        <f>F52</f>
        <v>7700</v>
      </c>
    </row>
    <row r="53" ht="27.0" customHeight="1">
      <c r="B53" s="15" t="s">
        <v>51</v>
      </c>
      <c r="C53" s="15"/>
      <c r="D53" s="16">
        <f>D55+D56+D57+D58+D59+D60</f>
        <v>100597.8</v>
      </c>
      <c r="E53" s="17">
        <f>E59+E60</f>
        <v>23120.2</v>
      </c>
      <c r="F53" s="16">
        <f>F55+F56+F57+F58+F59+F60</f>
        <v>79376.2</v>
      </c>
      <c r="G53" s="16">
        <f>G55+G58</f>
        <v>14117.2</v>
      </c>
      <c r="H53" s="16">
        <f>H56+H57+H59+H60</f>
        <v>65259</v>
      </c>
    </row>
    <row r="54" ht="64.5" customHeight="1">
      <c r="B54" s="29" t="s">
        <v>52</v>
      </c>
      <c r="C54" s="29"/>
      <c r="D54" s="29"/>
      <c r="E54" s="29"/>
      <c r="F54" s="45"/>
      <c r="G54" s="45"/>
      <c r="H54" s="45"/>
      <c r="I54" s="46"/>
    </row>
    <row r="55" ht="28.5" customHeight="1">
      <c r="B55" s="29" t="s">
        <v>53</v>
      </c>
      <c r="C55" s="29"/>
      <c r="D55" s="23">
        <f>10777.2+10</f>
        <v>10787.2</v>
      </c>
      <c r="E55" s="23"/>
      <c r="F55" s="4">
        <v>10132.2</v>
      </c>
      <c r="G55" s="4">
        <f>F55</f>
        <v>10132.2</v>
      </c>
      <c r="H55" s="21"/>
    </row>
    <row r="56" ht="29.25" customHeight="1">
      <c r="B56" s="29" t="s">
        <v>54</v>
      </c>
      <c r="C56" s="29"/>
      <c r="D56" s="23">
        <v>150.0</v>
      </c>
      <c r="E56" s="23"/>
      <c r="F56" s="4">
        <v>250.0</v>
      </c>
      <c r="G56" s="4"/>
      <c r="H56" s="21">
        <f t="shared" ref="H56:H57" si="13">F56</f>
        <v>250</v>
      </c>
    </row>
    <row r="57" ht="19.5" customHeight="1">
      <c r="B57" s="29" t="s">
        <v>55</v>
      </c>
      <c r="C57" s="22">
        <v>1.0</v>
      </c>
      <c r="D57" s="4">
        <v>17291.2</v>
      </c>
      <c r="E57" s="23"/>
      <c r="F57" s="4">
        <v>19389.2</v>
      </c>
      <c r="G57" s="4"/>
      <c r="H57" s="21">
        <f t="shared" si="13"/>
        <v>19389.2</v>
      </c>
    </row>
    <row r="58" ht="12.75" customHeight="1">
      <c r="B58" s="29" t="s">
        <v>56</v>
      </c>
      <c r="C58" s="29"/>
      <c r="D58" s="23">
        <f>625.7</f>
        <v>625.7</v>
      </c>
      <c r="E58" s="23"/>
      <c r="F58" s="4">
        <v>3985.0</v>
      </c>
      <c r="G58" s="4">
        <f>F58</f>
        <v>3985</v>
      </c>
      <c r="H58" s="21"/>
    </row>
    <row r="59" ht="24.0" customHeight="1">
      <c r="B59" s="29" t="s">
        <v>57</v>
      </c>
      <c r="C59" s="29"/>
      <c r="D59" s="4">
        <v>45705.8</v>
      </c>
      <c r="E59" s="23">
        <v>20000.0</v>
      </c>
      <c r="F59" s="4">
        <f>41258.8-E59</f>
        <v>21258.8</v>
      </c>
      <c r="G59" s="4"/>
      <c r="H59" s="21">
        <f t="shared" ref="H59:H60" si="14">F59</f>
        <v>21258.8</v>
      </c>
    </row>
    <row r="60" ht="22.5" customHeight="1">
      <c r="B60" s="29" t="s">
        <v>58</v>
      </c>
      <c r="C60" s="47"/>
      <c r="D60" s="4">
        <f>26037.9</f>
        <v>26037.9</v>
      </c>
      <c r="E60" s="23">
        <v>3120.2</v>
      </c>
      <c r="F60" s="4">
        <f>700+26781.2-E60</f>
        <v>24361</v>
      </c>
      <c r="G60" s="4"/>
      <c r="H60" s="21">
        <f t="shared" si="14"/>
        <v>24361</v>
      </c>
    </row>
    <row r="61" ht="32.25" customHeight="1">
      <c r="B61" s="15" t="s">
        <v>59</v>
      </c>
      <c r="C61" s="48">
        <f t="shared" ref="C61:H61" si="15">C63</f>
        <v>8</v>
      </c>
      <c r="D61" s="16">
        <f t="shared" si="15"/>
        <v>75987</v>
      </c>
      <c r="E61" s="16">
        <f t="shared" si="15"/>
        <v>4300</v>
      </c>
      <c r="F61" s="16">
        <f t="shared" si="15"/>
        <v>86735.7</v>
      </c>
      <c r="G61" s="16">
        <f t="shared" si="15"/>
        <v>44777.6</v>
      </c>
      <c r="H61" s="16">
        <f t="shared" si="15"/>
        <v>41958.1</v>
      </c>
    </row>
    <row r="62" ht="33.75" customHeight="1">
      <c r="B62" s="29" t="s">
        <v>60</v>
      </c>
      <c r="C62" s="29"/>
      <c r="D62" s="29"/>
      <c r="E62" s="49"/>
      <c r="F62" s="50"/>
      <c r="G62" s="50"/>
      <c r="H62" s="50"/>
    </row>
    <row r="63" ht="36.0" customHeight="1">
      <c r="B63" s="29" t="s">
        <v>61</v>
      </c>
      <c r="C63" s="51">
        <v>8.0</v>
      </c>
      <c r="D63" s="21">
        <f>20000+14181.9+5000+5700+500+1300+29205.1+100</f>
        <v>75987</v>
      </c>
      <c r="E63" s="21">
        <f>1300+3000</f>
        <v>4300</v>
      </c>
      <c r="F63" s="21">
        <f>91035.7-E63</f>
        <v>86735.7</v>
      </c>
      <c r="G63" s="21">
        <f>1300+5800+7677.6+30000</f>
        <v>44777.6</v>
      </c>
      <c r="H63" s="21">
        <f>F63-G63</f>
        <v>41958.1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B3:H3"/>
    <mergeCell ref="B7:B8"/>
    <mergeCell ref="D7:D8"/>
    <mergeCell ref="E7:E8"/>
    <mergeCell ref="F7:H7"/>
    <mergeCell ref="I54:I56"/>
  </mergeCells>
  <printOptions/>
  <pageMargins bottom="0.0" footer="0.0" header="0.0" left="0.11811023622047245" right="0.0" top="0.0"/>
  <pageSetup paperSize="9" orientation="portrait"/>
  <rowBreaks count="1" manualBreakCount="1">
    <brk id="36" man="1"/>
  </rowBreaks>
  <colBreaks count="1" manualBreakCount="1">
    <brk id="8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2010-11-11T08:04:53Z</dcterms:created>
  <dc:creator>гукх</dc:creator>
</cp:coreProperties>
</file>